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Deals" sheetId="1" state="visible" r:id="rId3"/>
    <sheet name="Commission 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<sst xmlns="http://schemas.openxmlformats.org/spreadsheetml/2006/main" count="156" uniqueCount="94">
  <si>
    <t xml:space="preserve">Monty Haider  ·  2026 Deal Tracker  ·  RE/MAX Wealth</t>
  </si>
  <si>
    <t xml:space="preserve">#</t>
  </si>
  <si>
    <t xml:space="preserve">Address</t>
  </si>
  <si>
    <t xml:space="preserve">Type</t>
  </si>
  <si>
    <t xml:space="preserve">Stage</t>
  </si>
  <si>
    <t xml:space="preserve">Deal</t>
  </si>
  <si>
    <t xml:space="preserve">Representing</t>
  </si>
  <si>
    <t xml:space="preserve">Client / Tenant</t>
  </si>
  <si>
    <t xml:space="preserve">Price
($/mo or Sale)</t>
  </si>
  <si>
    <t xml:space="preserve">Start Date</t>
  </si>
  <si>
    <t xml:space="preserve">Completion</t>
  </si>
  <si>
    <t xml:space="preserve">Gross Comm</t>
  </si>
  <si>
    <t xml:space="preserve">My Split %</t>
  </si>
  <si>
    <t xml:space="preserve">My Cut</t>
  </si>
  <si>
    <t xml:space="preserve">Brokerage</t>
  </si>
  <si>
    <t xml:space="preserve">HST (13%)</t>
  </si>
  <si>
    <t xml:space="preserve">Flex Fee</t>
  </si>
  <si>
    <t xml:space="preserve">Net to Me</t>
  </si>
  <si>
    <t xml:space="preserve">Comm Status</t>
  </si>
  <si>
    <t xml:space="preserve">Notes</t>
  </si>
  <si>
    <t xml:space="preserve">27 Bathurst St #716</t>
  </si>
  <si>
    <t xml:space="preserve">Residential</t>
  </si>
  <si>
    <t xml:space="preserve">Under Contract</t>
  </si>
  <si>
    <t xml:space="preserve">Lease</t>
  </si>
  <si>
    <t xml:space="preserve">Tenant</t>
  </si>
  <si>
    <t xml:space="preserve">Chase Charsley &amp; Juanita</t>
  </si>
  <si>
    <t xml:space="preserve">Pending</t>
  </si>
  <si>
    <t xml:space="preserve">Lease start Apr 15 — DocuSign completed, inspection clause added</t>
  </si>
  <si>
    <t xml:space="preserve">Yes</t>
  </si>
  <si>
    <t xml:space="preserve">20 Richardson St #913</t>
  </si>
  <si>
    <t xml:space="preserve">Closed</t>
  </si>
  <si>
    <t xml:space="preserve">Kai Thani</t>
  </si>
  <si>
    <t xml:space="preserve">DocuSign completed — Agreement to Lease signed</t>
  </si>
  <si>
    <t xml:space="preserve">80 Queens Wharf Rd #815</t>
  </si>
  <si>
    <t xml:space="preserve">DocuSign completed — all docs signed</t>
  </si>
  <si>
    <t xml:space="preserve">1365 Gerrard St E, 2nd Floor</t>
  </si>
  <si>
    <t xml:space="preserve">Commercial</t>
  </si>
  <si>
    <t xml:space="preserve">Active Listing</t>
  </si>
  <si>
    <t xml:space="preserve">Landlord</t>
  </si>
  <si>
    <t xml:space="preserve">Adam Sayani / 1436318 Ontario Ltd</t>
  </si>
  <si>
    <t xml:space="preserve">Listing agreement under review — runs to Sep 1 2026</t>
  </si>
  <si>
    <t xml:space="preserve">576 Front St W #1215E</t>
  </si>
  <si>
    <t xml:space="preserve">Sale</t>
  </si>
  <si>
    <t xml:space="preserve">Buyer</t>
  </si>
  <si>
    <t xml:space="preserve">Savannah Weng (via Dash PM)</t>
  </si>
  <si>
    <t xml:space="preserve">APS sent — Agreement of Purchase and Sale</t>
  </si>
  <si>
    <t xml:space="preserve">4-209 Jarvis St</t>
  </si>
  <si>
    <t xml:space="preserve">Alexis Miranda</t>
  </si>
  <si>
    <t xml:space="preserve">Received</t>
  </si>
  <si>
    <t xml:space="preserve">Lease accepted — deposit paid, move-in instructions sent</t>
  </si>
  <si>
    <t xml:space="preserve">1050 Eastern Ave #201</t>
  </si>
  <si>
    <t xml:space="preserve">Jillian Halmos &amp; Cierra Wojewoda</t>
  </si>
  <si>
    <t xml:space="preserve">Tenant insurance confirmed — move-in Mar 1</t>
  </si>
  <si>
    <t xml:space="preserve">65 Broadway Ave #1406</t>
  </si>
  <si>
    <t xml:space="preserve">Spencer Gray</t>
  </si>
  <si>
    <t xml:space="preserve">T2 Condo Rentals — 1 month free Apr 2026</t>
  </si>
  <si>
    <t xml:space="preserve">2118 Bloor St #511</t>
  </si>
  <si>
    <t xml:space="preserve">Marissa Pruchnicki &amp; Michael Gallagher</t>
  </si>
  <si>
    <t xml:space="preserve">All lease docs sent — accepted offer on file</t>
  </si>
  <si>
    <t xml:space="preserve">2443 Dundas St — Upper</t>
  </si>
  <si>
    <t xml:space="preserve">Hannah Patrick</t>
  </si>
  <si>
    <t xml:space="preserve">Lease firm — awaiting Ontario Standard Lease from landlord</t>
  </si>
  <si>
    <t xml:space="preserve">1050 Eastern Ave #1210</t>
  </si>
  <si>
    <t xml:space="preserve">Sneha (via Sungho Park)</t>
  </si>
  <si>
    <t xml:space="preserve">Counter-offer received — deposit &amp; insurance pending</t>
  </si>
  <si>
    <t xml:space="preserve">20 Minowan Miikan Lane #1205</t>
  </si>
  <si>
    <t xml:space="preserve">Alex Gavrilyev</t>
  </si>
  <si>
    <t xml:space="preserve">Offer sent Mar 11</t>
  </si>
  <si>
    <t xml:space="preserve">TOTALS</t>
  </si>
  <si>
    <t xml:space="preserve">🟢 Green = Commission Received   🟡 Amber = Payment Pending   🔵 Blue = Active Listing</t>
  </si>
  <si>
    <t xml:space="preserve">Monty Haider  ·  Commission Summary  ·  2026 YTD</t>
  </si>
  <si>
    <t xml:space="preserve">📊  Overall Commission Snapshot</t>
  </si>
  <si>
    <t xml:space="preserve">Total Gross Commission</t>
  </si>
  <si>
    <t xml:space="preserve">My Cut (before fees)</t>
  </si>
  <si>
    <t xml:space="preserve">To Brokerage</t>
  </si>
  <si>
    <t xml:space="preserve">HST Collected (13%)</t>
  </si>
  <si>
    <t xml:space="preserve">Flex Fees</t>
  </si>
  <si>
    <t xml:space="preserve">Net to Me (after all deducts)</t>
  </si>
  <si>
    <t xml:space="preserve">💰  Payment Status</t>
  </si>
  <si>
    <t xml:space="preserve">Received — Net</t>
  </si>
  <si>
    <t xml:space="preserve">Pending — Net</t>
  </si>
  <si>
    <t xml:space="preserve">Deals with Amounts</t>
  </si>
  <si>
    <t xml:space="preserve">Deals Received</t>
  </si>
  <si>
    <t xml:space="preserve">Deals Pending</t>
  </si>
  <si>
    <t xml:space="preserve">🏠  By Deal Type</t>
  </si>
  <si>
    <t xml:space="preserve">Lease — My Cut</t>
  </si>
  <si>
    <t xml:space="preserve">Sale — My Cut</t>
  </si>
  <si>
    <t xml:space="preserve">Lease — Net</t>
  </si>
  <si>
    <t xml:space="preserve">Sale — Net</t>
  </si>
  <si>
    <t xml:space="preserve">📋  Deal Stage</t>
  </si>
  <si>
    <t xml:space="preserve">Total Deals</t>
  </si>
  <si>
    <t xml:space="preserve">🏢  Property Type</t>
  </si>
  <si>
    <t xml:space="preserve">Residential Deals</t>
  </si>
  <si>
    <t xml:space="preserve">Commercial Deals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</si>
</sst>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mmm\ d&quot;, &quot;yyyy"/>
    <numFmt numFmtId="167" formatCode="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714"/>
      <name val="Arial"/>
      <family val="0"/>
      <charset val="1"/>
    </font>
    <font>
      <sz val="10"/>
      <color rgb="FF6B6560"/>
      <name val="Arial"/>
      <family val="0"/>
      <charset val="1"/>
    </font>
    <font>
      <sz val="10"/>
      <color rgb="FF1B4F8A"/>
      <name val="Arial"/>
      <family val="0"/>
      <charset val="1"/>
    </font>
    <font>
      <b val="true"/>
      <sz val="10"/>
      <color rgb="FF2D6A4F"/>
      <name val="Arial"/>
      <family val="0"/>
      <charset val="1"/>
    </font>
    <font>
      <sz val="10"/>
      <color rgb="FF991B1B"/>
      <name val="Arial"/>
      <family val="0"/>
      <charset val="1"/>
    </font>
    <font>
      <sz val="10"/>
      <color rgb="FF8A5A1B"/>
      <name val="Arial"/>
      <family val="0"/>
      <charset val="1"/>
    </font>
    <font>
      <b val="true"/>
      <sz val="10"/>
      <color rgb="FF8A5A1B"/>
      <name val="Arial"/>
      <family val="0"/>
      <charset val="1"/>
    </font>
    <font>
      <i val="true"/>
      <sz val="9"/>
      <color rgb="FF6B6560"/>
      <name val="Arial"/>
      <family val="0"/>
      <charset val="1"/>
    </font>
    <font>
      <sz val="9"/>
      <name val="Arial"/>
      <family val="0"/>
      <charset val="1"/>
    </font>
    <font>
      <b val="true"/>
      <sz val="10"/>
      <color rgb="FF1B4F8A"/>
      <name val="Arial"/>
      <family val="0"/>
      <charset val="1"/>
    </font>
    <font>
      <b val="true"/>
      <sz val="10"/>
      <color rgb="FF6B6560"/>
      <name val="Arial"/>
      <family val="0"/>
      <charset val="1"/>
    </font>
    <font>
      <b val="true"/>
      <sz val="10"/>
      <color rgb="FF991B1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2D6A4F"/>
      <name val="Arial"/>
      <family val="0"/>
      <charset val="1"/>
    </font>
    <font>
      <sz val="10"/>
      <color rgb="FF5A3A8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1714"/>
        <bgColor rgb="FF000000"/>
      </patternFill>
    </fill>
    <fill>
      <patternFill patternType="solid">
        <fgColor rgb="FFB5471C"/>
        <bgColor rgb="FF8A5A1B"/>
      </patternFill>
    </fill>
    <fill>
      <patternFill patternType="solid">
        <fgColor rgb="FFFAF8F5"/>
        <bgColor rgb="FFFFFFFF"/>
      </patternFill>
    </fill>
    <fill>
      <patternFill patternType="solid">
        <fgColor rgb="FFFFFFFF"/>
        <bgColor rgb="FFFAF8F5"/>
      </patternFill>
    </fill>
    <fill>
      <patternFill patternType="solid">
        <fgColor rgb="FFEDEAE3"/>
        <bgColor rgb="FFF7F0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0DBD0"/>
      </left>
      <right style="thin">
        <color rgb="FFE0DBD0"/>
      </right>
      <top style="thin">
        <color rgb="FFE0DBD0"/>
      </top>
      <bottom style="thin">
        <color rgb="FFE0DBD0"/>
      </bottom>
      <diagonal/>
    </border>
    <border diagonalUp="false" diagonalDown="false">
      <left style="thin">
        <color rgb="FFE0DBD0"/>
      </left>
      <right/>
      <top style="thin">
        <color rgb="FFE0DBD0"/>
      </top>
      <bottom style="thin">
        <color rgb="FFE0DB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8F4EE"/>
        </patternFill>
      </fill>
    </dxf>
    <dxf>
      <fill>
        <patternFill>
          <bgColor rgb="FFF7F0E8"/>
        </patternFill>
      </fill>
    </dxf>
    <dxf>
      <fill>
        <patternFill>
          <bgColor rgb="FFE8EEF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1B"/>
      <rgbColor rgb="FF800080"/>
      <rgbColor rgb="FF2D6A4F"/>
      <rgbColor rgb="FFC0C0C0"/>
      <rgbColor rgb="FF808080"/>
      <rgbColor rgb="FF9999FF"/>
      <rgbColor rgb="FFB5471C"/>
      <rgbColor rgb="FFFAF8F5"/>
      <rgbColor rgb="FFE8F4EE"/>
      <rgbColor rgb="FF660066"/>
      <rgbColor rgb="FFFF8080"/>
      <rgbColor rgb="FF0066CC"/>
      <rgbColor rgb="FFE0DB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EF7"/>
      <rgbColor rgb="FFEDEAE3"/>
      <rgbColor rgb="FFF7F0E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560"/>
      <rgbColor rgb="FF969696"/>
      <rgbColor rgb="FF1B4F8A"/>
      <rgbColor rgb="FF339966"/>
      <rgbColor rgb="FF003300"/>
      <rgbColor rgb="FF1A1714"/>
      <rgbColor rgb="FF991B1B"/>
      <rgbColor rgb="FF993366"/>
      <rgbColor rgb="FF5A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13"/>
    <col collapsed="false" customWidth="true" hidden="false" outlineLevel="0" max="4" min="4" style="0" width="16"/>
    <col collapsed="false" customWidth="true" hidden="false" outlineLevel="0" max="5" min="5" style="0" width="8"/>
    <col collapsed="false" customWidth="true" hidden="false" outlineLevel="0" max="6" min="6" style="0" width="14"/>
    <col collapsed="false" customWidth="true" hidden="false" outlineLevel="0" max="7" min="7" style="0" width="22"/>
    <col collapsed="false" customWidth="true" hidden="false" outlineLevel="0" max="8" min="8" style="0" width="12"/>
    <col collapsed="false" customWidth="true" hidden="false" outlineLevel="0" max="11" min="9" style="0" width="11"/>
    <col collapsed="false" customWidth="true" hidden="false" outlineLevel="0" max="12" min="12" style="0" width="9"/>
    <col collapsed="false" customWidth="true" hidden="false" outlineLevel="0" max="15" min="13" style="0" width="11"/>
    <col collapsed="false" customWidth="true" hidden="false" outlineLevel="0" max="16" min="16" style="0" width="9"/>
    <col collapsed="false" customWidth="true" hidden="false" outlineLevel="0" max="17" min="17" style="0" width="11"/>
    <col collapsed="false" customWidth="true" hidden="false" outlineLevel="0" max="18" min="18" style="0" width="13"/>
    <col collapsed="false" customWidth="true" hidden="false" outlineLevel="0" max="19" min="19" style="0" width="38"/>
    <col collapsed="false" customWidth="true" hidden="true" outlineLevel="0" max="20" min="20" style="0" width="13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36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</row>
    <row r="4" customFormat="false" ht="24" hidden="false" customHeight="true" outlineLevel="0" collapsed="false">
      <c r="A4" s="4" t="n">
        <v>1</v>
      </c>
      <c r="B4" s="5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7"/>
      <c r="I4" s="8" t="n">
        <v>46092</v>
      </c>
      <c r="J4" s="8" t="n">
        <v>46127</v>
      </c>
      <c r="K4" s="9"/>
      <c r="L4" s="10" t="n">
        <v>0.75</v>
      </c>
      <c r="M4" s="11" t="str">
        <f aca="false">IF(K4&gt;0,ROUND(K4*L4,0),"")</f>
        <v/>
      </c>
      <c r="N4" s="9" t="str">
        <f aca="false">IF(K4&gt;0,K4-M4,"")</f>
        <v/>
      </c>
      <c r="O4" s="12" t="str">
        <f aca="false">IF(AND(T4="Yes",M4&lt;&gt;""),ROUND(M4*0.13,0),"")</f>
        <v/>
      </c>
      <c r="P4" s="13"/>
      <c r="Q4" s="11" t="str">
        <f aca="false">IF(M4&lt;&gt;"",M4+IF(O4&lt;&gt;"",O4,0)-IF(P4&lt;&gt;"",P4,0),"")</f>
        <v/>
      </c>
      <c r="R4" s="14" t="s">
        <v>26</v>
      </c>
      <c r="S4" s="15" t="s">
        <v>27</v>
      </c>
      <c r="T4" s="16" t="s">
        <v>28</v>
      </c>
    </row>
    <row r="5" customFormat="false" ht="24" hidden="false" customHeight="true" outlineLevel="0" collapsed="false">
      <c r="A5" s="17" t="n">
        <v>2</v>
      </c>
      <c r="B5" s="18" t="s">
        <v>29</v>
      </c>
      <c r="C5" s="19" t="s">
        <v>21</v>
      </c>
      <c r="D5" s="19" t="s">
        <v>30</v>
      </c>
      <c r="E5" s="19" t="s">
        <v>23</v>
      </c>
      <c r="F5" s="19" t="s">
        <v>24</v>
      </c>
      <c r="G5" s="19" t="s">
        <v>31</v>
      </c>
      <c r="H5" s="20"/>
      <c r="I5" s="21" t="n">
        <v>46089</v>
      </c>
      <c r="J5" s="21"/>
      <c r="K5" s="22"/>
      <c r="L5" s="23" t="n">
        <v>0.75</v>
      </c>
      <c r="M5" s="24" t="str">
        <f aca="false">IF(K5&gt;0,ROUND(K5*L5,0),"")</f>
        <v/>
      </c>
      <c r="N5" s="22" t="str">
        <f aca="false">IF(K5&gt;0,K5-M5,"")</f>
        <v/>
      </c>
      <c r="O5" s="25" t="str">
        <f aca="false">IF(AND(T5="Yes",M5&lt;&gt;""),ROUND(M5*0.13,0),"")</f>
        <v/>
      </c>
      <c r="P5" s="26"/>
      <c r="Q5" s="24" t="str">
        <f aca="false">IF(M5&lt;&gt;"",M5+IF(O5&lt;&gt;"",O5,0)-IF(P5&lt;&gt;"",P5,0),"")</f>
        <v/>
      </c>
      <c r="R5" s="27" t="s">
        <v>26</v>
      </c>
      <c r="S5" s="28" t="s">
        <v>32</v>
      </c>
      <c r="T5" s="16" t="s">
        <v>28</v>
      </c>
    </row>
    <row r="6" customFormat="false" ht="24" hidden="false" customHeight="true" outlineLevel="0" collapsed="false">
      <c r="A6" s="4" t="n">
        <v>3</v>
      </c>
      <c r="B6" s="5" t="s">
        <v>33</v>
      </c>
      <c r="C6" s="6" t="s">
        <v>21</v>
      </c>
      <c r="D6" s="6" t="s">
        <v>30</v>
      </c>
      <c r="E6" s="6" t="s">
        <v>23</v>
      </c>
      <c r="F6" s="6" t="s">
        <v>24</v>
      </c>
      <c r="G6" s="6"/>
      <c r="H6" s="7"/>
      <c r="I6" s="8" t="n">
        <v>46084</v>
      </c>
      <c r="J6" s="8"/>
      <c r="K6" s="9"/>
      <c r="L6" s="10" t="n">
        <v>0.75</v>
      </c>
      <c r="M6" s="11" t="str">
        <f aca="false">IF(K6&gt;0,ROUND(K6*L6,0),"")</f>
        <v/>
      </c>
      <c r="N6" s="9" t="str">
        <f aca="false">IF(K6&gt;0,K6-M6,"")</f>
        <v/>
      </c>
      <c r="O6" s="12" t="str">
        <f aca="false">IF(AND(T6="Yes",M6&lt;&gt;""),ROUND(M6*0.13,0),"")</f>
        <v/>
      </c>
      <c r="P6" s="13"/>
      <c r="Q6" s="11" t="str">
        <f aca="false">IF(M6&lt;&gt;"",M6+IF(O6&lt;&gt;"",O6,0)-IF(P6&lt;&gt;"",P6,0),"")</f>
        <v/>
      </c>
      <c r="R6" s="14" t="s">
        <v>26</v>
      </c>
      <c r="S6" s="15" t="s">
        <v>34</v>
      </c>
      <c r="T6" s="16" t="s">
        <v>28</v>
      </c>
    </row>
    <row r="7" customFormat="false" ht="24" hidden="false" customHeight="true" outlineLevel="0" collapsed="false">
      <c r="A7" s="17" t="n">
        <v>4</v>
      </c>
      <c r="B7" s="18" t="s">
        <v>35</v>
      </c>
      <c r="C7" s="19" t="s">
        <v>36</v>
      </c>
      <c r="D7" s="19" t="s">
        <v>37</v>
      </c>
      <c r="E7" s="19" t="s">
        <v>23</v>
      </c>
      <c r="F7" s="19" t="s">
        <v>38</v>
      </c>
      <c r="G7" s="19" t="s">
        <v>39</v>
      </c>
      <c r="H7" s="20"/>
      <c r="I7" s="21" t="n">
        <v>46091</v>
      </c>
      <c r="J7" s="21" t="n">
        <v>46266</v>
      </c>
      <c r="K7" s="22"/>
      <c r="L7" s="23" t="n">
        <v>0.75</v>
      </c>
      <c r="M7" s="24" t="str">
        <f aca="false">IF(K7&gt;0,ROUND(K7*L7,0),"")</f>
        <v/>
      </c>
      <c r="N7" s="22" t="str">
        <f aca="false">IF(K7&gt;0,K7-M7,"")</f>
        <v/>
      </c>
      <c r="O7" s="25" t="str">
        <f aca="false">IF(AND(T7="Yes",M7&lt;&gt;""),ROUND(M7*0.13,0),"")</f>
        <v/>
      </c>
      <c r="P7" s="26"/>
      <c r="Q7" s="24" t="str">
        <f aca="false">IF(M7&lt;&gt;"",M7+IF(O7&lt;&gt;"",O7,0)-IF(P7&lt;&gt;"",P7,0),"")</f>
        <v/>
      </c>
      <c r="R7" s="27" t="s">
        <v>26</v>
      </c>
      <c r="S7" s="28" t="s">
        <v>40</v>
      </c>
      <c r="T7" s="16" t="s">
        <v>28</v>
      </c>
    </row>
    <row r="8" customFormat="false" ht="24" hidden="false" customHeight="true" outlineLevel="0" collapsed="false">
      <c r="A8" s="4" t="n">
        <v>5</v>
      </c>
      <c r="B8" s="5" t="s">
        <v>41</v>
      </c>
      <c r="C8" s="6" t="s">
        <v>21</v>
      </c>
      <c r="D8" s="6" t="s">
        <v>22</v>
      </c>
      <c r="E8" s="6" t="s">
        <v>42</v>
      </c>
      <c r="F8" s="6" t="s">
        <v>43</v>
      </c>
      <c r="G8" s="6" t="s">
        <v>44</v>
      </c>
      <c r="H8" s="7"/>
      <c r="I8" s="8" t="n">
        <v>46087</v>
      </c>
      <c r="J8" s="8"/>
      <c r="K8" s="9"/>
      <c r="L8" s="10" t="n">
        <v>0.5</v>
      </c>
      <c r="M8" s="11" t="str">
        <f aca="false">IF(K8&gt;0,ROUND(K8*L8,0),"")</f>
        <v/>
      </c>
      <c r="N8" s="9" t="str">
        <f aca="false">IF(K8&gt;0,K8-M8,"")</f>
        <v/>
      </c>
      <c r="O8" s="12" t="str">
        <f aca="false">IF(AND(T8="Yes",M8&lt;&gt;""),ROUND(M8*0.13,0),"")</f>
        <v/>
      </c>
      <c r="P8" s="13"/>
      <c r="Q8" s="11" t="str">
        <f aca="false">IF(M8&lt;&gt;"",M8+IF(O8&lt;&gt;"",O8,0)-IF(P8&lt;&gt;"",P8,0),"")</f>
        <v/>
      </c>
      <c r="R8" s="14" t="s">
        <v>26</v>
      </c>
      <c r="S8" s="15" t="s">
        <v>45</v>
      </c>
      <c r="T8" s="16" t="s">
        <v>28</v>
      </c>
    </row>
    <row r="9" customFormat="false" ht="24" hidden="false" customHeight="true" outlineLevel="0" collapsed="false">
      <c r="A9" s="17" t="n">
        <v>6</v>
      </c>
      <c r="B9" s="18" t="s">
        <v>46</v>
      </c>
      <c r="C9" s="19" t="s">
        <v>21</v>
      </c>
      <c r="D9" s="19" t="s">
        <v>30</v>
      </c>
      <c r="E9" s="19" t="s">
        <v>23</v>
      </c>
      <c r="F9" s="19" t="s">
        <v>24</v>
      </c>
      <c r="G9" s="19" t="s">
        <v>47</v>
      </c>
      <c r="H9" s="20"/>
      <c r="I9" s="21" t="n">
        <v>46090</v>
      </c>
      <c r="J9" s="21" t="n">
        <v>46090</v>
      </c>
      <c r="K9" s="22"/>
      <c r="L9" s="23" t="n">
        <v>0.75</v>
      </c>
      <c r="M9" s="24" t="str">
        <f aca="false">IF(K9&gt;0,ROUND(K9*L9,0),"")</f>
        <v/>
      </c>
      <c r="N9" s="22" t="str">
        <f aca="false">IF(K9&gt;0,K9-M9,"")</f>
        <v/>
      </c>
      <c r="O9" s="25" t="str">
        <f aca="false">IF(AND(T9="Yes",M9&lt;&gt;""),ROUND(M9*0.13,0),"")</f>
        <v/>
      </c>
      <c r="P9" s="26"/>
      <c r="Q9" s="24" t="str">
        <f aca="false">IF(M9&lt;&gt;"",M9+IF(O9&lt;&gt;"",O9,0)-IF(P9&lt;&gt;"",P9,0),"")</f>
        <v/>
      </c>
      <c r="R9" s="29" t="s">
        <v>48</v>
      </c>
      <c r="S9" s="28" t="s">
        <v>49</v>
      </c>
      <c r="T9" s="16" t="s">
        <v>28</v>
      </c>
    </row>
    <row r="10" customFormat="false" ht="24" hidden="false" customHeight="true" outlineLevel="0" collapsed="false">
      <c r="A10" s="4" t="n">
        <v>7</v>
      </c>
      <c r="B10" s="5" t="s">
        <v>50</v>
      </c>
      <c r="C10" s="6" t="s">
        <v>21</v>
      </c>
      <c r="D10" s="6" t="s">
        <v>30</v>
      </c>
      <c r="E10" s="6" t="s">
        <v>23</v>
      </c>
      <c r="F10" s="6" t="s">
        <v>24</v>
      </c>
      <c r="G10" s="6" t="s">
        <v>51</v>
      </c>
      <c r="H10" s="7"/>
      <c r="I10" s="8" t="n">
        <v>46082</v>
      </c>
      <c r="J10" s="8" t="n">
        <v>46082</v>
      </c>
      <c r="K10" s="9"/>
      <c r="L10" s="10" t="n">
        <v>0.75</v>
      </c>
      <c r="M10" s="11" t="str">
        <f aca="false">IF(K10&gt;0,ROUND(K10*L10,0),"")</f>
        <v/>
      </c>
      <c r="N10" s="9" t="str">
        <f aca="false">IF(K10&gt;0,K10-M10,"")</f>
        <v/>
      </c>
      <c r="O10" s="12" t="str">
        <f aca="false">IF(AND(T10="Yes",M10&lt;&gt;""),ROUND(M10*0.13,0),"")</f>
        <v/>
      </c>
      <c r="P10" s="13"/>
      <c r="Q10" s="11" t="str">
        <f aca="false">IF(M10&lt;&gt;"",M10+IF(O10&lt;&gt;"",O10,0)-IF(P10&lt;&gt;"",P10,0),"")</f>
        <v/>
      </c>
      <c r="R10" s="30" t="s">
        <v>48</v>
      </c>
      <c r="S10" s="15" t="s">
        <v>52</v>
      </c>
      <c r="T10" s="16" t="s">
        <v>28</v>
      </c>
    </row>
    <row r="11" customFormat="false" ht="24" hidden="false" customHeight="true" outlineLevel="0" collapsed="false">
      <c r="A11" s="17" t="n">
        <v>8</v>
      </c>
      <c r="B11" s="18" t="s">
        <v>53</v>
      </c>
      <c r="C11" s="19" t="s">
        <v>21</v>
      </c>
      <c r="D11" s="19" t="s">
        <v>30</v>
      </c>
      <c r="E11" s="19" t="s">
        <v>23</v>
      </c>
      <c r="F11" s="19" t="s">
        <v>24</v>
      </c>
      <c r="G11" s="19" t="s">
        <v>54</v>
      </c>
      <c r="H11" s="31" t="n">
        <v>4600</v>
      </c>
      <c r="I11" s="21" t="n">
        <v>46062</v>
      </c>
      <c r="J11" s="21" t="n">
        <v>46082</v>
      </c>
      <c r="K11" s="22" t="n">
        <v>4600</v>
      </c>
      <c r="L11" s="23" t="n">
        <v>0.75</v>
      </c>
      <c r="M11" s="24" t="n">
        <f aca="false">IF(K11&gt;0,ROUND(K11*L11,0),"")</f>
        <v>3450</v>
      </c>
      <c r="N11" s="22" t="n">
        <f aca="false">IF(K11&gt;0,K11-M11,"")</f>
        <v>1150</v>
      </c>
      <c r="O11" s="25" t="n">
        <f aca="false">IF(AND(T11="Yes",M11&lt;&gt;""),ROUND(M11*0.13,0),"")</f>
        <v>449</v>
      </c>
      <c r="P11" s="26" t="n">
        <v>250</v>
      </c>
      <c r="Q11" s="24" t="n">
        <f aca="false">IF(M11&lt;&gt;"",M11+IF(O11&lt;&gt;"",O11,0)-IF(P11&lt;&gt;"",P11,0),"")</f>
        <v>3649</v>
      </c>
      <c r="R11" s="29" t="s">
        <v>48</v>
      </c>
      <c r="S11" s="28" t="s">
        <v>55</v>
      </c>
      <c r="T11" s="16" t="s">
        <v>28</v>
      </c>
    </row>
    <row r="12" customFormat="false" ht="24" hidden="false" customHeight="true" outlineLevel="0" collapsed="false">
      <c r="A12" s="4" t="n">
        <v>9</v>
      </c>
      <c r="B12" s="5" t="s">
        <v>56</v>
      </c>
      <c r="C12" s="6" t="s">
        <v>21</v>
      </c>
      <c r="D12" s="6" t="s">
        <v>30</v>
      </c>
      <c r="E12" s="6" t="s">
        <v>23</v>
      </c>
      <c r="F12" s="6" t="s">
        <v>24</v>
      </c>
      <c r="G12" s="6" t="s">
        <v>57</v>
      </c>
      <c r="H12" s="7"/>
      <c r="I12" s="8" t="n">
        <v>46049</v>
      </c>
      <c r="J12" s="8" t="n">
        <v>46054</v>
      </c>
      <c r="K12" s="9"/>
      <c r="L12" s="10" t="n">
        <v>0.75</v>
      </c>
      <c r="M12" s="11" t="str">
        <f aca="false">IF(K12&gt;0,ROUND(K12*L12,0),"")</f>
        <v/>
      </c>
      <c r="N12" s="9" t="str">
        <f aca="false">IF(K12&gt;0,K12-M12,"")</f>
        <v/>
      </c>
      <c r="O12" s="12" t="str">
        <f aca="false">IF(AND(T12="Yes",M12&lt;&gt;""),ROUND(M12*0.13,0),"")</f>
        <v/>
      </c>
      <c r="P12" s="13"/>
      <c r="Q12" s="11" t="str">
        <f aca="false">IF(M12&lt;&gt;"",M12+IF(O12&lt;&gt;"",O12,0)-IF(P12&lt;&gt;"",P12,0),"")</f>
        <v/>
      </c>
      <c r="R12" s="30" t="s">
        <v>48</v>
      </c>
      <c r="S12" s="15" t="s">
        <v>58</v>
      </c>
      <c r="T12" s="16" t="s">
        <v>28</v>
      </c>
    </row>
    <row r="13" customFormat="false" ht="24" hidden="false" customHeight="true" outlineLevel="0" collapsed="false">
      <c r="A13" s="17" t="n">
        <v>10</v>
      </c>
      <c r="B13" s="18" t="s">
        <v>59</v>
      </c>
      <c r="C13" s="19" t="s">
        <v>21</v>
      </c>
      <c r="D13" s="19" t="s">
        <v>30</v>
      </c>
      <c r="E13" s="19" t="s">
        <v>23</v>
      </c>
      <c r="F13" s="19" t="s">
        <v>24</v>
      </c>
      <c r="G13" s="19" t="s">
        <v>60</v>
      </c>
      <c r="H13" s="20"/>
      <c r="I13" s="21" t="n">
        <v>46044</v>
      </c>
      <c r="J13" s="21" t="n">
        <v>46054</v>
      </c>
      <c r="K13" s="22"/>
      <c r="L13" s="23" t="n">
        <v>0.75</v>
      </c>
      <c r="M13" s="24" t="str">
        <f aca="false">IF(K13&gt;0,ROUND(K13*L13,0),"")</f>
        <v/>
      </c>
      <c r="N13" s="22" t="str">
        <f aca="false">IF(K13&gt;0,K13-M13,"")</f>
        <v/>
      </c>
      <c r="O13" s="25" t="str">
        <f aca="false">IF(AND(T13="Yes",M13&lt;&gt;""),ROUND(M13*0.13,0),"")</f>
        <v/>
      </c>
      <c r="P13" s="26"/>
      <c r="Q13" s="24" t="str">
        <f aca="false">IF(M13&lt;&gt;"",M13+IF(O13&lt;&gt;"",O13,0)-IF(P13&lt;&gt;"",P13,0),"")</f>
        <v/>
      </c>
      <c r="R13" s="29" t="s">
        <v>48</v>
      </c>
      <c r="S13" s="28" t="s">
        <v>61</v>
      </c>
      <c r="T13" s="16" t="s">
        <v>28</v>
      </c>
    </row>
    <row r="14" customFormat="false" ht="24" hidden="false" customHeight="true" outlineLevel="0" collapsed="false">
      <c r="A14" s="4" t="n">
        <v>11</v>
      </c>
      <c r="B14" s="5" t="s">
        <v>62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63</v>
      </c>
      <c r="H14" s="7"/>
      <c r="I14" s="8" t="n">
        <v>46078</v>
      </c>
      <c r="J14" s="8"/>
      <c r="K14" s="9"/>
      <c r="L14" s="10" t="n">
        <v>0.75</v>
      </c>
      <c r="M14" s="11" t="str">
        <f aca="false">IF(K14&gt;0,ROUND(K14*L14,0),"")</f>
        <v/>
      </c>
      <c r="N14" s="9" t="str">
        <f aca="false">IF(K14&gt;0,K14-M14,"")</f>
        <v/>
      </c>
      <c r="O14" s="12" t="str">
        <f aca="false">IF(AND(T14="Yes",M14&lt;&gt;""),ROUND(M14*0.13,0),"")</f>
        <v/>
      </c>
      <c r="P14" s="13"/>
      <c r="Q14" s="11" t="str">
        <f aca="false">IF(M14&lt;&gt;"",M14+IF(O14&lt;&gt;"",O14,0)-IF(P14&lt;&gt;"",P14,0),"")</f>
        <v/>
      </c>
      <c r="R14" s="14" t="s">
        <v>26</v>
      </c>
      <c r="S14" s="15" t="s">
        <v>64</v>
      </c>
      <c r="T14" s="16" t="s">
        <v>28</v>
      </c>
    </row>
    <row r="15" customFormat="false" ht="24" hidden="false" customHeight="true" outlineLevel="0" collapsed="false">
      <c r="A15" s="17" t="n">
        <v>12</v>
      </c>
      <c r="B15" s="18" t="s">
        <v>65</v>
      </c>
      <c r="C15" s="19" t="s">
        <v>21</v>
      </c>
      <c r="D15" s="19" t="s">
        <v>22</v>
      </c>
      <c r="E15" s="19" t="s">
        <v>23</v>
      </c>
      <c r="F15" s="19" t="s">
        <v>24</v>
      </c>
      <c r="G15" s="19" t="s">
        <v>66</v>
      </c>
      <c r="H15" s="20"/>
      <c r="I15" s="21" t="n">
        <v>46092</v>
      </c>
      <c r="J15" s="21"/>
      <c r="K15" s="22"/>
      <c r="L15" s="23" t="n">
        <v>0.75</v>
      </c>
      <c r="M15" s="24" t="str">
        <f aca="false">IF(K15&gt;0,ROUND(K15*L15,0),"")</f>
        <v/>
      </c>
      <c r="N15" s="22" t="str">
        <f aca="false">IF(K15&gt;0,K15-M15,"")</f>
        <v/>
      </c>
      <c r="O15" s="25" t="str">
        <f aca="false">IF(AND(T15="Yes",M15&lt;&gt;""),ROUND(M15*0.13,0),"")</f>
        <v/>
      </c>
      <c r="P15" s="26"/>
      <c r="Q15" s="24" t="str">
        <f aca="false">IF(M15&lt;&gt;"",M15+IF(O15&lt;&gt;"",O15,0)-IF(P15&lt;&gt;"",P15,0),"")</f>
        <v/>
      </c>
      <c r="R15" s="27" t="s">
        <v>26</v>
      </c>
      <c r="S15" s="28" t="s">
        <v>67</v>
      </c>
      <c r="T15" s="16" t="s">
        <v>28</v>
      </c>
    </row>
    <row r="16" customFormat="false" ht="21.75" hidden="false" customHeight="true" outlineLevel="0" collapsed="false">
      <c r="A16" s="32" t="s">
        <v>68</v>
      </c>
      <c r="B16" s="32"/>
      <c r="C16" s="32"/>
      <c r="D16" s="32"/>
      <c r="E16" s="32"/>
      <c r="F16" s="32"/>
      <c r="G16" s="32"/>
      <c r="H16" s="32"/>
      <c r="I16" s="32"/>
      <c r="J16" s="32"/>
      <c r="K16" s="33" t="n">
        <f aca="false">SUMIF(K4:K15,"&gt;0")</f>
        <v>4600</v>
      </c>
      <c r="L16" s="34"/>
      <c r="M16" s="35" t="n">
        <f aca="false">SUMIF(M4:M15,"&gt;0")</f>
        <v>3450</v>
      </c>
      <c r="N16" s="33" t="n">
        <f aca="false">SUMIF(N4:N15,"&gt;0")</f>
        <v>1150</v>
      </c>
      <c r="O16" s="36" t="n">
        <f aca="false">SUMIF(O4:O15,"&gt;0")</f>
        <v>449</v>
      </c>
      <c r="P16" s="37" t="n">
        <f aca="false">SUMIF(P4:P15,"&gt;0")</f>
        <v>250</v>
      </c>
      <c r="Q16" s="35" t="n">
        <f aca="false">SUMIF(Q4:Q15,"&gt;0")</f>
        <v>3649</v>
      </c>
      <c r="R16" s="34"/>
      <c r="S16" s="34"/>
    </row>
    <row r="18" customFormat="false" ht="15" hidden="false" customHeight="false" outlineLevel="0" collapsed="false">
      <c r="A18" s="38" t="s">
        <v>69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</sheetData>
  <mergeCells count="3">
    <mergeCell ref="A1:S1"/>
    <mergeCell ref="A16:J16"/>
    <mergeCell ref="A18:S18"/>
  </mergeCells>
  <conditionalFormatting sqref="A4:S15">
    <cfRule type="expression" priority="2" aboveAverage="0" equalAverage="0" bottom="0" percent="0" rank="0" text="" dxfId="0">
      <formula>$R4="Received"</formula>
    </cfRule>
    <cfRule type="expression" priority="3" aboveAverage="0" equalAverage="0" bottom="0" percent="0" rank="0" text="" dxfId="1">
      <formula>$R4="Pending"</formula>
    </cfRule>
    <cfRule type="expression" priority="4" aboveAverage="0" equalAverage="0" bottom="0" percent="0" rank="0" text="" dxfId="2">
      <formula>$D4="Active Listing"</formula>
    </cfRule>
  </conditionalFormatting>
  <dataValidations count="6">
    <dataValidation allowBlank="false" errorStyle="stop" operator="between" showDropDown="false" showErrorMessage="false" showInputMessage="false" sqref="D4:D15" type="list">
      <formula1>"Closed,Under Contract,Active Listing"</formula1>
      <formula2>0</formula2>
    </dataValidation>
    <dataValidation allowBlank="false" errorStyle="stop" operator="between" showDropDown="false" showErrorMessage="false" showInputMessage="false" sqref="E4:E15" type="list">
      <formula1>"Lease,Sale"</formula1>
      <formula2>0</formula2>
    </dataValidation>
    <dataValidation allowBlank="false" errorStyle="stop" operator="between" showDropDown="false" showErrorMessage="false" showInputMessage="false" sqref="F4:F15" type="list">
      <formula1>"Tenant,Landlord,Both (Lease),Buyer,Seller,Both (Sale)"</formula1>
      <formula2>0</formula2>
    </dataValidation>
    <dataValidation allowBlank="false" errorStyle="stop" operator="between" showDropDown="false" showErrorMessage="false" showInputMessage="false" sqref="R4:R15" type="list">
      <formula1>"Received,Pending"</formula1>
      <formula2>0</formula2>
    </dataValidation>
    <dataValidation allowBlank="false" errorStyle="stop" operator="between" showDropDown="false" showErrorMessage="false" showInputMessage="false" sqref="C4:C15" type="list">
      <formula1>"Residential,Commercial"</formula1>
      <formula2>0</formula2>
    </dataValidation>
    <dataValidation allowBlank="false" errorStyle="stop" operator="between" showDropDown="false" showErrorMessage="false" showInputMessage="false" sqref="T4:T15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8" min="3" style="0" width="16"/>
  </cols>
  <sheetData>
    <row r="1" customFormat="false" ht="36" hidden="false" customHeight="true" outlineLevel="0" collapsed="false">
      <c r="A1" s="1" t="s">
        <v>70</v>
      </c>
      <c r="B1" s="1"/>
      <c r="C1" s="1"/>
      <c r="D1" s="1"/>
      <c r="E1" s="1"/>
      <c r="F1" s="1"/>
      <c r="G1" s="1"/>
      <c r="H1" s="1"/>
    </row>
    <row r="2" customFormat="false" ht="3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4" customFormat="false" ht="19.5" hidden="false" customHeight="true" outlineLevel="0" collapsed="false">
      <c r="B4" s="39" t="s">
        <v>71</v>
      </c>
      <c r="C4" s="39"/>
      <c r="D4" s="39"/>
      <c r="E4" s="39"/>
      <c r="F4" s="39"/>
      <c r="G4" s="39"/>
      <c r="H4" s="39"/>
    </row>
    <row r="5" customFormat="false" ht="21.75" hidden="false" customHeight="true" outlineLevel="0" collapsed="false">
      <c r="B5" s="40" t="s">
        <v>72</v>
      </c>
      <c r="C5" s="22" t="n">
        <f aca="false">SUMIF('All Deals'!K4:K15,"&gt;0")</f>
        <v>4600</v>
      </c>
      <c r="D5" s="22"/>
      <c r="E5" s="22"/>
      <c r="F5" s="22"/>
      <c r="G5" s="22"/>
      <c r="H5" s="22"/>
    </row>
    <row r="6" customFormat="false" ht="21.75" hidden="false" customHeight="true" outlineLevel="0" collapsed="false">
      <c r="B6" s="40" t="s">
        <v>73</v>
      </c>
      <c r="C6" s="24" t="n">
        <f aca="false">SUMIF('All Deals'!M4:M15,"&gt;0")</f>
        <v>3450</v>
      </c>
      <c r="D6" s="24"/>
      <c r="E6" s="24"/>
      <c r="F6" s="24"/>
      <c r="G6" s="24"/>
      <c r="H6" s="24"/>
    </row>
    <row r="7" customFormat="false" ht="21.75" hidden="false" customHeight="true" outlineLevel="0" collapsed="false">
      <c r="B7" s="40" t="s">
        <v>74</v>
      </c>
      <c r="C7" s="22" t="n">
        <f aca="false">SUMIF('All Deals'!N4:N15,"&gt;0")</f>
        <v>1150</v>
      </c>
      <c r="D7" s="22"/>
      <c r="E7" s="22"/>
      <c r="F7" s="22"/>
      <c r="G7" s="22"/>
      <c r="H7" s="22"/>
    </row>
    <row r="8" customFormat="false" ht="21.75" hidden="false" customHeight="true" outlineLevel="0" collapsed="false">
      <c r="B8" s="40" t="s">
        <v>75</v>
      </c>
      <c r="C8" s="25" t="n">
        <f aca="false">SUMIF('All Deals'!O4:O15,"&gt;0")</f>
        <v>449</v>
      </c>
      <c r="D8" s="25"/>
      <c r="E8" s="25"/>
      <c r="F8" s="25"/>
      <c r="G8" s="25"/>
      <c r="H8" s="25"/>
    </row>
    <row r="9" customFormat="false" ht="21.75" hidden="false" customHeight="true" outlineLevel="0" collapsed="false">
      <c r="B9" s="40" t="s">
        <v>76</v>
      </c>
      <c r="C9" s="26" t="n">
        <f aca="false">SUMIF('All Deals'!P4:P15,"&gt;0")</f>
        <v>250</v>
      </c>
      <c r="D9" s="26"/>
      <c r="E9" s="26"/>
      <c r="F9" s="26"/>
      <c r="G9" s="26"/>
      <c r="H9" s="26"/>
    </row>
    <row r="10" customFormat="false" ht="21.75" hidden="false" customHeight="true" outlineLevel="0" collapsed="false">
      <c r="B10" s="40" t="s">
        <v>77</v>
      </c>
      <c r="C10" s="24" t="n">
        <f aca="false">SUMIF('All Deals'!Q4:Q15,"&gt;0")</f>
        <v>3649</v>
      </c>
      <c r="D10" s="24"/>
      <c r="E10" s="24"/>
      <c r="F10" s="24"/>
      <c r="G10" s="24"/>
      <c r="H10" s="24"/>
    </row>
    <row r="11" customFormat="false" ht="7.5" hidden="false" customHeight="true" outlineLevel="0" collapsed="false"/>
    <row r="12" customFormat="false" ht="19.5" hidden="false" customHeight="true" outlineLevel="0" collapsed="false">
      <c r="B12" s="39" t="s">
        <v>78</v>
      </c>
      <c r="C12" s="39"/>
      <c r="D12" s="39"/>
      <c r="E12" s="39"/>
      <c r="F12" s="39"/>
      <c r="G12" s="39"/>
      <c r="H12" s="39"/>
    </row>
    <row r="13" customFormat="false" ht="21.75" hidden="false" customHeight="true" outlineLevel="0" collapsed="false">
      <c r="B13" s="40" t="s">
        <v>79</v>
      </c>
      <c r="C13" s="24" t="n">
        <f aca="false">SUMPRODUCT(('All Deals'!R4:R15="Received")*IFERROR('All Deals'!Q4:Q15*1,0))</f>
        <v>3649</v>
      </c>
      <c r="D13" s="24"/>
      <c r="E13" s="24"/>
      <c r="F13" s="24"/>
      <c r="G13" s="24"/>
      <c r="H13" s="24"/>
    </row>
    <row r="14" customFormat="false" ht="21.75" hidden="false" customHeight="true" outlineLevel="0" collapsed="false">
      <c r="B14" s="40" t="s">
        <v>80</v>
      </c>
      <c r="C14" s="41" t="n">
        <f aca="false">SUMPRODUCT(('All Deals'!R4:R15="Pending")*IFERROR('All Deals'!Q4:Q15*1,0))</f>
        <v>0</v>
      </c>
      <c r="D14" s="41"/>
      <c r="E14" s="41"/>
      <c r="F14" s="41"/>
      <c r="G14" s="41"/>
      <c r="H14" s="41"/>
    </row>
    <row r="15" customFormat="false" ht="21.75" hidden="false" customHeight="true" outlineLevel="0" collapsed="false">
      <c r="B15" s="40" t="s">
        <v>81</v>
      </c>
      <c r="C15" s="22" t="n">
        <f aca="false">COUNTIF('All Deals'!K4:K15,"&gt;0")</f>
        <v>1</v>
      </c>
      <c r="D15" s="22"/>
      <c r="E15" s="22"/>
      <c r="F15" s="22"/>
      <c r="G15" s="22"/>
      <c r="H15" s="22"/>
    </row>
    <row r="16" customFormat="false" ht="21.75" hidden="false" customHeight="true" outlineLevel="0" collapsed="false">
      <c r="B16" s="40" t="s">
        <v>82</v>
      </c>
      <c r="C16" s="42" t="n">
        <f aca="false">COUNTIF('All Deals'!R4:R15,"Received")</f>
        <v>5</v>
      </c>
      <c r="D16" s="42"/>
      <c r="E16" s="42"/>
      <c r="F16" s="42"/>
      <c r="G16" s="42"/>
      <c r="H16" s="42"/>
    </row>
    <row r="17" customFormat="false" ht="21.75" hidden="false" customHeight="true" outlineLevel="0" collapsed="false">
      <c r="B17" s="40" t="s">
        <v>83</v>
      </c>
      <c r="C17" s="26" t="n">
        <f aca="false">COUNTIF('All Deals'!R4:R15,"Pending")</f>
        <v>7</v>
      </c>
      <c r="D17" s="26"/>
      <c r="E17" s="26"/>
      <c r="F17" s="26"/>
      <c r="G17" s="26"/>
      <c r="H17" s="26"/>
    </row>
    <row r="18" customFormat="false" ht="7.5" hidden="false" customHeight="true" outlineLevel="0" collapsed="false"/>
    <row r="19" customFormat="false" ht="19.5" hidden="false" customHeight="true" outlineLevel="0" collapsed="false">
      <c r="B19" s="39" t="s">
        <v>84</v>
      </c>
      <c r="C19" s="39"/>
      <c r="D19" s="39"/>
      <c r="E19" s="39"/>
      <c r="F19" s="39"/>
      <c r="G19" s="39"/>
      <c r="H19" s="39"/>
    </row>
    <row r="20" customFormat="false" ht="21.75" hidden="false" customHeight="true" outlineLevel="0" collapsed="false">
      <c r="B20" s="40" t="s">
        <v>85</v>
      </c>
      <c r="C20" s="22" t="n">
        <f aca="false">SUMPRODUCT(('All Deals'!E4:E15="Lease")*IFERROR('All Deals'!M4:M15*1,0))</f>
        <v>3450</v>
      </c>
      <c r="D20" s="22"/>
      <c r="E20" s="22"/>
      <c r="F20" s="22"/>
      <c r="G20" s="22"/>
      <c r="H20" s="22"/>
    </row>
    <row r="21" customFormat="false" ht="21.75" hidden="false" customHeight="true" outlineLevel="0" collapsed="false">
      <c r="B21" s="40" t="s">
        <v>86</v>
      </c>
      <c r="C21" s="22" t="n">
        <f aca="false">SUMPRODUCT(('All Deals'!E4:E15="Sale")*IFERROR('All Deals'!M4:M15*1,0))</f>
        <v>0</v>
      </c>
      <c r="D21" s="22"/>
      <c r="E21" s="22"/>
      <c r="F21" s="22"/>
      <c r="G21" s="22"/>
      <c r="H21" s="22"/>
    </row>
    <row r="22" customFormat="false" ht="21.75" hidden="false" customHeight="true" outlineLevel="0" collapsed="false">
      <c r="B22" s="40" t="s">
        <v>87</v>
      </c>
      <c r="C22" s="42" t="n">
        <f aca="false">SUMPRODUCT(('All Deals'!E4:E15="Lease")*IFERROR('All Deals'!Q4:Q15*1,0))</f>
        <v>3649</v>
      </c>
      <c r="D22" s="42"/>
      <c r="E22" s="42"/>
      <c r="F22" s="42"/>
      <c r="G22" s="42"/>
      <c r="H22" s="42"/>
    </row>
    <row r="23" customFormat="false" ht="21.75" hidden="false" customHeight="true" outlineLevel="0" collapsed="false">
      <c r="B23" s="40" t="s">
        <v>88</v>
      </c>
      <c r="C23" s="42" t="n">
        <f aca="false">SUMPRODUCT(('All Deals'!E4:E15="Sale")*IFERROR('All Deals'!Q4:Q15*1,0))</f>
        <v>0</v>
      </c>
      <c r="D23" s="42"/>
      <c r="E23" s="42"/>
      <c r="F23" s="42"/>
      <c r="G23" s="42"/>
      <c r="H23" s="42"/>
    </row>
    <row r="24" customFormat="false" ht="7.5" hidden="false" customHeight="true" outlineLevel="0" collapsed="false"/>
    <row r="25" customFormat="false" ht="19.5" hidden="false" customHeight="true" outlineLevel="0" collapsed="false">
      <c r="B25" s="39" t="s">
        <v>89</v>
      </c>
      <c r="C25" s="39"/>
      <c r="D25" s="39"/>
      <c r="E25" s="39"/>
      <c r="F25" s="39"/>
      <c r="G25" s="39"/>
      <c r="H25" s="39"/>
    </row>
    <row r="26" customFormat="false" ht="21.75" hidden="false" customHeight="true" outlineLevel="0" collapsed="false">
      <c r="B26" s="40" t="s">
        <v>30</v>
      </c>
      <c r="C26" s="42" t="n">
        <f aca="false">COUNTIF('All Deals'!D4:D15,"Closed")</f>
        <v>7</v>
      </c>
      <c r="D26" s="42"/>
      <c r="E26" s="42"/>
      <c r="F26" s="42"/>
      <c r="G26" s="42"/>
      <c r="H26" s="42"/>
    </row>
    <row r="27" customFormat="false" ht="21.75" hidden="false" customHeight="true" outlineLevel="0" collapsed="false">
      <c r="B27" s="40" t="s">
        <v>22</v>
      </c>
      <c r="C27" s="20" t="n">
        <f aca="false">COUNTIF('All Deals'!D4:D15,"Under Contract")</f>
        <v>4</v>
      </c>
      <c r="D27" s="20"/>
      <c r="E27" s="20"/>
      <c r="F27" s="20"/>
      <c r="G27" s="20"/>
      <c r="H27" s="20"/>
    </row>
    <row r="28" customFormat="false" ht="21.75" hidden="false" customHeight="true" outlineLevel="0" collapsed="false">
      <c r="B28" s="40" t="s">
        <v>37</v>
      </c>
      <c r="C28" s="26" t="n">
        <f aca="false">COUNTIF('All Deals'!D4:D15,"Active Listing")</f>
        <v>1</v>
      </c>
      <c r="D28" s="26"/>
      <c r="E28" s="26"/>
      <c r="F28" s="26"/>
      <c r="G28" s="26"/>
      <c r="H28" s="26"/>
    </row>
    <row r="29" customFormat="false" ht="21.75" hidden="false" customHeight="true" outlineLevel="0" collapsed="false">
      <c r="B29" s="40" t="s">
        <v>90</v>
      </c>
      <c r="C29" s="43" t="n">
        <f aca="false">COUNTA('All Deals'!B4:B15)</f>
        <v>12</v>
      </c>
      <c r="D29" s="43"/>
      <c r="E29" s="43"/>
      <c r="F29" s="43"/>
      <c r="G29" s="43"/>
      <c r="H29" s="43"/>
    </row>
    <row r="30" customFormat="false" ht="7.5" hidden="false" customHeight="true" outlineLevel="0" collapsed="false"/>
    <row r="31" customFormat="false" ht="19.5" hidden="false" customHeight="true" outlineLevel="0" collapsed="false">
      <c r="B31" s="39" t="s">
        <v>91</v>
      </c>
      <c r="C31" s="39"/>
      <c r="D31" s="39"/>
      <c r="E31" s="39"/>
      <c r="F31" s="39"/>
      <c r="G31" s="39"/>
      <c r="H31" s="39"/>
    </row>
    <row r="32" customFormat="false" ht="21.75" hidden="false" customHeight="true" outlineLevel="0" collapsed="false">
      <c r="B32" s="40" t="s">
        <v>92</v>
      </c>
      <c r="C32" s="22" t="n">
        <f aca="false">COUNTIF('All Deals'!C4:C15,"Residential")</f>
        <v>11</v>
      </c>
      <c r="D32" s="22"/>
      <c r="E32" s="22"/>
      <c r="F32" s="22"/>
      <c r="G32" s="22"/>
      <c r="H32" s="22"/>
    </row>
    <row r="33" customFormat="false" ht="21.75" hidden="false" customHeight="true" outlineLevel="0" collapsed="false">
      <c r="B33" s="40" t="s">
        <v>93</v>
      </c>
      <c r="C33" s="44" t="n">
        <f aca="false">COUNTIF('All Deals'!C4:C15,"Commercial")</f>
        <v>1</v>
      </c>
      <c r="D33" s="44"/>
      <c r="E33" s="44"/>
      <c r="F33" s="44"/>
      <c r="G33" s="44"/>
      <c r="H33" s="44"/>
    </row>
    <row r="34" customFormat="false" ht="7.5" hidden="false" customHeight="true" outlineLevel="0" collapsed="false"/>
  </sheetData>
  <mergeCells count="27">
    <mergeCell ref="A1:H1"/>
    <mergeCell ref="B4:H4"/>
    <mergeCell ref="C5:H5"/>
    <mergeCell ref="C6:H6"/>
    <mergeCell ref="C7:H7"/>
    <mergeCell ref="C8:H8"/>
    <mergeCell ref="C9:H9"/>
    <mergeCell ref="C10:H10"/>
    <mergeCell ref="B12:H12"/>
    <mergeCell ref="C13:H13"/>
    <mergeCell ref="C14:H14"/>
    <mergeCell ref="C15:H15"/>
    <mergeCell ref="C16:H16"/>
    <mergeCell ref="C17:H17"/>
    <mergeCell ref="B19:H19"/>
    <mergeCell ref="C20:H20"/>
    <mergeCell ref="C21:H21"/>
    <mergeCell ref="C22:H22"/>
    <mergeCell ref="C23:H23"/>
    <mergeCell ref="B25:H25"/>
    <mergeCell ref="C26:H26"/>
    <mergeCell ref="C27:H27"/>
    <mergeCell ref="C28:H28"/>
    <mergeCell ref="C29:H29"/>
    <mergeCell ref="B31:H31"/>
    <mergeCell ref="C32:H32"/>
    <mergeCell ref="C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2026-03-16T16:11:48Z</dcterms:created>
  <dc:creator>openpyxl</dc:creator>
  <dc:description/>
  <dc:language>en-US</dc:language>
  <cp:lastModifiedBy/>
  <dcterms:modified xsi:type="dcterms:W3CDTF">2026-03-16T16:11:48Z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